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260" windowHeight="7068"/>
  </bookViews>
  <sheets>
    <sheet name="Income" sheetId="1" r:id="rId1"/>
    <sheet name="Capital" sheetId="2" r:id="rId2"/>
  </sheets>
  <calcPr calcId="145621" concurrentCalc="0"/>
</workbook>
</file>

<file path=xl/calcChain.xml><?xml version="1.0" encoding="utf-8"?>
<calcChain xmlns="http://schemas.openxmlformats.org/spreadsheetml/2006/main">
  <c r="J31" i="1" l="1"/>
  <c r="J30" i="1"/>
  <c r="J28" i="1"/>
  <c r="J27" i="1"/>
  <c r="J26" i="1"/>
  <c r="J25" i="1"/>
  <c r="J24" i="1"/>
  <c r="E38" i="1"/>
  <c r="E37" i="1"/>
  <c r="E36" i="1"/>
  <c r="D22" i="1"/>
  <c r="C22" i="1"/>
  <c r="E22" i="1"/>
  <c r="D18" i="1"/>
  <c r="E33" i="1"/>
  <c r="E27" i="1"/>
  <c r="C51" i="1"/>
  <c r="D26" i="2"/>
  <c r="D20" i="1"/>
  <c r="B9" i="1"/>
  <c r="D19" i="1"/>
  <c r="C19" i="1"/>
  <c r="E19" i="1"/>
  <c r="C31" i="1"/>
  <c r="C26" i="1"/>
  <c r="C25" i="1"/>
  <c r="E23" i="1"/>
  <c r="C21" i="1"/>
  <c r="C20" i="1"/>
  <c r="C18" i="1"/>
  <c r="C15" i="1"/>
  <c r="F14" i="1"/>
  <c r="F13" i="1"/>
  <c r="C12" i="1"/>
  <c r="D29" i="1"/>
  <c r="C29" i="1"/>
  <c r="E26" i="1"/>
  <c r="E21" i="1"/>
  <c r="E20" i="1"/>
  <c r="C13" i="1"/>
  <c r="F20" i="1"/>
  <c r="E29" i="1"/>
  <c r="E18" i="1"/>
  <c r="E12" i="1"/>
  <c r="E15" i="1"/>
  <c r="E25" i="1"/>
  <c r="C28" i="1"/>
  <c r="E31" i="1"/>
  <c r="F27" i="1"/>
  <c r="F39" i="1"/>
  <c r="F38" i="1"/>
  <c r="F40" i="1"/>
  <c r="F26" i="1"/>
  <c r="F23" i="1"/>
  <c r="F33" i="1"/>
  <c r="E28" i="1"/>
  <c r="F32" i="1"/>
  <c r="F30" i="1"/>
  <c r="C14" i="1"/>
  <c r="E14" i="1"/>
  <c r="E13" i="1"/>
  <c r="F37" i="1"/>
  <c r="E41" i="1"/>
  <c r="F36" i="1"/>
  <c r="F31" i="1"/>
  <c r="F25" i="1"/>
  <c r="F15" i="1"/>
  <c r="F12" i="1"/>
  <c r="F18" i="1"/>
  <c r="F24" i="1"/>
  <c r="F29" i="1"/>
  <c r="F21" i="1"/>
  <c r="J37" i="1"/>
  <c r="F41" i="1"/>
  <c r="E16" i="1"/>
  <c r="F28" i="1"/>
  <c r="F16" i="1"/>
  <c r="G40" i="1"/>
  <c r="G38" i="1"/>
  <c r="G39" i="1"/>
  <c r="J38" i="1"/>
  <c r="G30" i="1"/>
  <c r="G12" i="1"/>
  <c r="G25" i="1"/>
  <c r="G16" i="1"/>
  <c r="G33" i="1"/>
  <c r="G18" i="1"/>
  <c r="G26" i="1"/>
  <c r="G36" i="1"/>
  <c r="G21" i="1"/>
  <c r="G29" i="1"/>
  <c r="G15" i="1"/>
  <c r="G20" i="1"/>
  <c r="G24" i="1"/>
  <c r="G28" i="1"/>
  <c r="G32" i="1"/>
  <c r="G23" i="1"/>
  <c r="G27" i="1"/>
  <c r="G31" i="1"/>
  <c r="G37" i="1"/>
  <c r="G41" i="1"/>
  <c r="D5" i="2"/>
  <c r="D28" i="2"/>
  <c r="D27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29" i="2"/>
  <c r="E44" i="2"/>
  <c r="D44" i="2"/>
  <c r="B44" i="2"/>
  <c r="C44" i="2"/>
  <c r="G22" i="1"/>
  <c r="F22" i="1"/>
  <c r="E34" i="1"/>
  <c r="E42" i="1"/>
  <c r="F19" i="1"/>
  <c r="G19" i="1"/>
  <c r="G34" i="1"/>
  <c r="G42" i="1"/>
  <c r="G43" i="1"/>
  <c r="F34" i="1"/>
  <c r="J36" i="1"/>
  <c r="F42" i="1"/>
  <c r="B49" i="1"/>
  <c r="C49" i="1"/>
  <c r="E43" i="1"/>
  <c r="F43" i="1"/>
  <c r="B50" i="1"/>
  <c r="C50" i="1"/>
  <c r="E45" i="1"/>
  <c r="F45" i="1"/>
</calcChain>
</file>

<file path=xl/sharedStrings.xml><?xml version="1.0" encoding="utf-8"?>
<sst xmlns="http://schemas.openxmlformats.org/spreadsheetml/2006/main" count="164" uniqueCount="156">
  <si>
    <t xml:space="preserve">Working Budget For Layer Enterprise </t>
  </si>
  <si>
    <t>Number of birds</t>
  </si>
  <si>
    <t>Mortality</t>
  </si>
  <si>
    <t xml:space="preserve">Feed </t>
  </si>
  <si>
    <t>Lbs/bird/day</t>
  </si>
  <si>
    <t>Lay rate</t>
  </si>
  <si>
    <t>Unit</t>
  </si>
  <si>
    <t>Number</t>
  </si>
  <si>
    <t>Price per</t>
  </si>
  <si>
    <t>Total</t>
  </si>
  <si>
    <t>$/dozen</t>
  </si>
  <si>
    <t>% Revenue</t>
  </si>
  <si>
    <t>Eggs (Direct to consumer sales)</t>
  </si>
  <si>
    <t>Dozen</t>
  </si>
  <si>
    <t>Less: Grading Cost</t>
  </si>
  <si>
    <t>Less:  EFO levy</t>
  </si>
  <si>
    <t>Bird</t>
  </si>
  <si>
    <t>Total Revenue</t>
  </si>
  <si>
    <t>All items (except cartons) come in 25kg bags.</t>
  </si>
  <si>
    <t>Variable Expenses</t>
  </si>
  <si>
    <t>Pullets</t>
  </si>
  <si>
    <t>Feed</t>
  </si>
  <si>
    <t>Ton</t>
  </si>
  <si>
    <t>Pullet feed: $13.30</t>
  </si>
  <si>
    <t>Grit</t>
  </si>
  <si>
    <t>Pound</t>
  </si>
  <si>
    <t>Layer mash:</t>
  </si>
  <si>
    <t>Bedding-Hay</t>
  </si>
  <si>
    <t>Bales</t>
  </si>
  <si>
    <t xml:space="preserve">Mulch hay 7 bales wk for 22 wks </t>
  </si>
  <si>
    <t>Lay mash - $13.15</t>
  </si>
  <si>
    <t>Bedding-Shavings</t>
  </si>
  <si>
    <t>2 Bales/wk for 52 wks</t>
  </si>
  <si>
    <t>Pellets - $13.85</t>
  </si>
  <si>
    <t>Electricity</t>
  </si>
  <si>
    <t>Month</t>
  </si>
  <si>
    <t>Cooler, heaters, lights</t>
  </si>
  <si>
    <t>Feed: </t>
  </si>
  <si>
    <t>Misc Supplies</t>
  </si>
  <si>
    <t>GMO free layer mash - $16.55</t>
  </si>
  <si>
    <t>Labor-Production/Collection</t>
  </si>
  <si>
    <t>Hours</t>
  </si>
  <si>
    <t>.5 hr/day water and feed, .5 hr/wk general</t>
  </si>
  <si>
    <t>GMO free chick starter - $17.70</t>
  </si>
  <si>
    <t>Labor - pack/deliver</t>
  </si>
  <si>
    <t>2hrs/wk delivery</t>
  </si>
  <si>
    <t>GMO free chick grower - $16.00</t>
  </si>
  <si>
    <t>Custom Hire</t>
  </si>
  <si>
    <t>Organic - about $33-$35</t>
  </si>
  <si>
    <t>Labels</t>
  </si>
  <si>
    <t>Grit - $9.25</t>
  </si>
  <si>
    <t>Cartons</t>
  </si>
  <si>
    <t>Bedding: </t>
  </si>
  <si>
    <t>Marketing</t>
  </si>
  <si>
    <t>Farmers market/farm stand</t>
  </si>
  <si>
    <t>Auto/distribution</t>
  </si>
  <si>
    <t>(40 km/wk) 2080 km @.35</t>
  </si>
  <si>
    <t>Egg cartons: $40 for 150 cartons</t>
  </si>
  <si>
    <t>Repairs and maintenance</t>
  </si>
  <si>
    <t>Interest on operating capital</t>
  </si>
  <si>
    <t>lbs per Imperial ton</t>
  </si>
  <si>
    <t>Total Variable Expenses</t>
  </si>
  <si>
    <t>lbs per kg</t>
  </si>
  <si>
    <t>kg per lb</t>
  </si>
  <si>
    <t>Fixed Expenses</t>
  </si>
  <si>
    <t xml:space="preserve">Insurance </t>
  </si>
  <si>
    <t>Taxes</t>
  </si>
  <si>
    <t>Mortgage</t>
  </si>
  <si>
    <t>2.5% of farm mortgage</t>
  </si>
  <si>
    <t>Equipment</t>
  </si>
  <si>
    <t>Infrastructure</t>
  </si>
  <si>
    <t xml:space="preserve">Total Fixed Expenses </t>
  </si>
  <si>
    <t>Total Expenses</t>
  </si>
  <si>
    <t>Net Income</t>
  </si>
  <si>
    <t>Loan for Start-up/Capital expense</t>
  </si>
  <si>
    <t>Net after capital</t>
  </si>
  <si>
    <t>EFO Levy</t>
  </si>
  <si>
    <t>No Levy</t>
  </si>
  <si>
    <t>Break even point retail price/dozen</t>
  </si>
  <si>
    <t>Net/dozen w/o capital</t>
  </si>
  <si>
    <t>Capital Budget for 100 Bird Layer Enterprise</t>
  </si>
  <si>
    <t>Created By Sam Smith, Intervale Center; adapted by Russ Christianson, ON Co-op</t>
  </si>
  <si>
    <t>Item</t>
  </si>
  <si>
    <t># of units</t>
  </si>
  <si>
    <t>Cost Per unit</t>
  </si>
  <si>
    <t>Total Cost</t>
  </si>
  <si>
    <t>Comments</t>
  </si>
  <si>
    <t>Housing</t>
  </si>
  <si>
    <t>Portable hen house</t>
  </si>
  <si>
    <t>Small scale hoop house</t>
  </si>
  <si>
    <t>Winter waterer</t>
  </si>
  <si>
    <t>Varies by producer</t>
  </si>
  <si>
    <t>Lighting</t>
  </si>
  <si>
    <t>Includes timers and bulbs</t>
  </si>
  <si>
    <t>Feeders</t>
  </si>
  <si>
    <t>Kuhl BL-50G-6</t>
  </si>
  <si>
    <t>Egg-mobiles</t>
  </si>
  <si>
    <t>Roofing</t>
  </si>
  <si>
    <t>Running Gear</t>
  </si>
  <si>
    <t>Lumber/misc</t>
  </si>
  <si>
    <t>Water tanks</t>
  </si>
  <si>
    <t>Nesting boxes</t>
  </si>
  <si>
    <t>Waterers</t>
  </si>
  <si>
    <t>Bell-matic 12</t>
  </si>
  <si>
    <t>Poultry net</t>
  </si>
  <si>
    <t>Premier Poultry 164'</t>
  </si>
  <si>
    <t>Energizer</t>
  </si>
  <si>
    <t>Speedrite 2000</t>
  </si>
  <si>
    <t>Battery</t>
  </si>
  <si>
    <t>Farm truck</t>
  </si>
  <si>
    <t>Grain Bin</t>
  </si>
  <si>
    <t>1-ton Poly</t>
  </si>
  <si>
    <t>Cooler</t>
  </si>
  <si>
    <t>Coolbot</t>
  </si>
  <si>
    <t>Air Conditioner</t>
  </si>
  <si>
    <t>Materials</t>
  </si>
  <si>
    <t>Insulation,Framing</t>
  </si>
  <si>
    <t>Processing</t>
  </si>
  <si>
    <t>Egg cases-plastic</t>
  </si>
  <si>
    <t xml:space="preserve">Start-up Capital </t>
  </si>
  <si>
    <t>Total start-up capital</t>
  </si>
  <si>
    <t>20% of product liability/general</t>
  </si>
  <si>
    <t>2.5% of $2,500 farm property tax</t>
  </si>
  <si>
    <t>Refridgerator</t>
  </si>
  <si>
    <t>Estimated Cost of Building DIY On-Farm Grading Station</t>
  </si>
  <si>
    <t>Low</t>
  </si>
  <si>
    <t>Median</t>
  </si>
  <si>
    <t>High</t>
  </si>
  <si>
    <t>Mean</t>
  </si>
  <si>
    <t>Building Permit (1%)</t>
  </si>
  <si>
    <t>Building (renovated existing) - 10' x 10'</t>
  </si>
  <si>
    <t>Building (new, stand alone) - 10' x 10'</t>
  </si>
  <si>
    <t xml:space="preserve">Water Heater </t>
  </si>
  <si>
    <t>HVAC</t>
  </si>
  <si>
    <t>Septic Bed/Water system</t>
  </si>
  <si>
    <t>Sinks (hand/double sink)</t>
  </si>
  <si>
    <t>Fridges (2)</t>
  </si>
  <si>
    <t>Cabinets</t>
  </si>
  <si>
    <t>Grading equipment (candling light, scale)</t>
  </si>
  <si>
    <t>Pullet delivered; $10.40 FOB</t>
  </si>
  <si>
    <t>Originally created by Sam Smith, Intervale Center for Vermont USA growers; Adapted by Russ Christianson, ON Co-op, for Farms at Work, Ontario</t>
  </si>
  <si>
    <t>Ontario Small Flock Layer Operation</t>
  </si>
  <si>
    <t>Annual Revenue</t>
  </si>
  <si>
    <t>Cost of Production/dozen w/o capital</t>
  </si>
  <si>
    <t>Pricing from Sunderland Co-op 2016</t>
  </si>
  <si>
    <t>Shavings - $5.79 each and $5.29 for 10 or more</t>
  </si>
  <si>
    <t>Price per ton</t>
  </si>
  <si>
    <t>Note that cost of capital is not included - see second tab on spreadsheet</t>
  </si>
  <si>
    <t>annual depreciation on equipment</t>
  </si>
  <si>
    <t>annual depreciation on infrastructure</t>
  </si>
  <si>
    <t>Resale of spent hens</t>
  </si>
  <si>
    <t>Yellow highlighted cells are variables that can be changed to reflect your operation.  Other cells are formulae and should not be adjusted.</t>
  </si>
  <si>
    <t>Grain cost per ton (select from Column J)</t>
  </si>
  <si>
    <t>Per dozen cost of Raw Materials</t>
  </si>
  <si>
    <t>Per dozen cost of Labour</t>
  </si>
  <si>
    <t>Per dozen cost of 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</si>
</sst>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2" fillId="0" borderId="0" xfId="1"/>
    <xf numFmtId="0" fontId="2" fillId="0" borderId="1" xfId="1" applyBorder="1"/>
    <xf numFmtId="0" fontId="3" fillId="0" borderId="1" xfId="1" applyFont="1" applyBorder="1" applyAlignment="1">
      <alignment horizontal="center"/>
    </xf>
    <xf numFmtId="3" fontId="2" fillId="0" borderId="0" xfId="1" applyNumberFormat="1"/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left" vertical="center" indent="4"/>
    </xf>
    <xf numFmtId="0" fontId="11" fillId="0" borderId="1" xfId="1" applyFont="1" applyBorder="1"/>
    <xf numFmtId="0" fontId="2" fillId="0" borderId="0" xfId="1" applyFont="1"/>
    <xf numFmtId="44" fontId="2" fillId="0" borderId="1" xfId="1" applyNumberFormat="1" applyBorder="1"/>
    <xf numFmtId="0" fontId="5" fillId="0" borderId="0" xfId="1" applyFont="1" applyFill="1" applyBorder="1" applyAlignment="1">
      <alignment horizontal="left"/>
    </xf>
    <xf numFmtId="0" fontId="6" fillId="0" borderId="0" xfId="1" applyFont="1"/>
    <xf numFmtId="0" fontId="6" fillId="0" borderId="1" xfId="1" applyFont="1" applyBorder="1"/>
    <xf numFmtId="0" fontId="6" fillId="0" borderId="1" xfId="1" applyFont="1" applyFill="1" applyBorder="1"/>
    <xf numFmtId="0" fontId="9" fillId="0" borderId="1" xfId="1" applyFont="1" applyFill="1" applyBorder="1"/>
    <xf numFmtId="0" fontId="10" fillId="2" borderId="1" xfId="1" applyFont="1" applyFill="1" applyBorder="1"/>
    <xf numFmtId="37" fontId="6" fillId="0" borderId="1" xfId="2" applyNumberFormat="1" applyFont="1" applyFill="1" applyBorder="1"/>
    <xf numFmtId="0" fontId="8" fillId="0" borderId="1" xfId="1" applyFont="1" applyFill="1" applyBorder="1" applyAlignment="1">
      <alignment horizontal="center"/>
    </xf>
    <xf numFmtId="37" fontId="9" fillId="0" borderId="1" xfId="2" applyNumberFormat="1" applyFont="1" applyFill="1" applyBorder="1"/>
    <xf numFmtId="37" fontId="9" fillId="0" borderId="1" xfId="1" applyNumberFormat="1" applyFont="1" applyFill="1" applyBorder="1"/>
    <xf numFmtId="0" fontId="9" fillId="0" borderId="1" xfId="1" applyFont="1" applyFill="1" applyBorder="1" applyAlignment="1">
      <alignment horizontal="right"/>
    </xf>
    <xf numFmtId="0" fontId="6" fillId="0" borderId="0" xfId="1" applyFont="1"/>
    <xf numFmtId="37" fontId="6" fillId="0" borderId="1" xfId="1" applyNumberFormat="1" applyFont="1" applyBorder="1"/>
    <xf numFmtId="3" fontId="6" fillId="0" borderId="0" xfId="1" applyNumberFormat="1" applyFont="1"/>
    <xf numFmtId="44" fontId="2" fillId="0" borderId="0" xfId="1" applyNumberFormat="1"/>
    <xf numFmtId="166" fontId="0" fillId="0" borderId="0" xfId="0" applyNumberFormat="1"/>
    <xf numFmtId="8" fontId="2" fillId="7" borderId="1" xfId="1" applyNumberFormat="1" applyFill="1" applyBorder="1"/>
    <xf numFmtId="8" fontId="2" fillId="3" borderId="1" xfId="2" applyNumberFormat="1" applyFont="1" applyFill="1" applyBorder="1"/>
    <xf numFmtId="0" fontId="2" fillId="0" borderId="0" xfId="1"/>
    <xf numFmtId="0" fontId="2" fillId="0" borderId="1" xfId="1" applyBorder="1"/>
    <xf numFmtId="0" fontId="2" fillId="0" borderId="3" xfId="1" applyBorder="1"/>
    <xf numFmtId="0" fontId="2" fillId="0" borderId="2" xfId="1" applyBorder="1"/>
    <xf numFmtId="0" fontId="3" fillId="0" borderId="1" xfId="1" applyFont="1" applyBorder="1"/>
    <xf numFmtId="164" fontId="2" fillId="0" borderId="1" xfId="2" applyNumberFormat="1" applyFont="1" applyBorder="1"/>
    <xf numFmtId="0" fontId="3" fillId="0" borderId="3" xfId="1" applyFont="1" applyBorder="1"/>
    <xf numFmtId="164" fontId="3" fillId="0" borderId="3" xfId="2" applyNumberFormat="1" applyFont="1" applyBorder="1"/>
    <xf numFmtId="0" fontId="2" fillId="0" borderId="4" xfId="1" applyBorder="1"/>
    <xf numFmtId="0" fontId="4" fillId="0" borderId="1" xfId="4" applyBorder="1"/>
    <xf numFmtId="0" fontId="2" fillId="0" borderId="0" xfId="1" applyFill="1"/>
    <xf numFmtId="0" fontId="3" fillId="0" borderId="1" xfId="1" applyFont="1" applyBorder="1" applyAlignment="1">
      <alignment horizontal="center"/>
    </xf>
    <xf numFmtId="42" fontId="2" fillId="0" borderId="2" xfId="2" applyNumberFormat="1" applyFont="1" applyBorder="1"/>
    <xf numFmtId="0" fontId="2" fillId="5" borderId="1" xfId="1" applyFill="1" applyBorder="1"/>
    <xf numFmtId="9" fontId="2" fillId="5" borderId="1" xfId="3" applyFont="1" applyFill="1" applyBorder="1"/>
    <xf numFmtId="0" fontId="3" fillId="0" borderId="3" xfId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165" fontId="2" fillId="0" borderId="1" xfId="2" applyNumberFormat="1" applyFont="1" applyBorder="1"/>
    <xf numFmtId="165" fontId="3" fillId="0" borderId="3" xfId="2" applyNumberFormat="1" applyFont="1" applyBorder="1"/>
    <xf numFmtId="165" fontId="3" fillId="0" borderId="8" xfId="2" applyNumberFormat="1" applyFont="1" applyBorder="1"/>
    <xf numFmtId="165" fontId="3" fillId="0" borderId="1" xfId="2" applyNumberFormat="1" applyFont="1" applyBorder="1"/>
    <xf numFmtId="0" fontId="3" fillId="6" borderId="0" xfId="1" applyFont="1" applyFill="1"/>
    <xf numFmtId="0" fontId="2" fillId="6" borderId="0" xfId="1" applyFill="1"/>
    <xf numFmtId="0" fontId="3" fillId="6" borderId="0" xfId="1" applyFont="1" applyFill="1" applyAlignment="1">
      <alignment horizontal="center"/>
    </xf>
    <xf numFmtId="0" fontId="5" fillId="0" borderId="0" xfId="1" applyFont="1" applyFill="1" applyBorder="1" applyAlignment="1">
      <alignment horizontal="left"/>
    </xf>
    <xf numFmtId="3" fontId="2" fillId="4" borderId="1" xfId="1" applyNumberFormat="1" applyFill="1" applyBorder="1"/>
    <xf numFmtId="3" fontId="2" fillId="4" borderId="4" xfId="1" applyNumberFormat="1" applyFill="1" applyBorder="1"/>
    <xf numFmtId="3" fontId="2" fillId="4" borderId="2" xfId="1" applyNumberFormat="1" applyFill="1" applyBorder="1"/>
    <xf numFmtId="3" fontId="3" fillId="0" borderId="3" xfId="1" applyNumberFormat="1" applyFont="1" applyBorder="1"/>
    <xf numFmtId="3" fontId="2" fillId="0" borderId="1" xfId="1" applyNumberFormat="1" applyBorder="1"/>
    <xf numFmtId="3" fontId="2" fillId="5" borderId="1" xfId="1" applyNumberFormat="1" applyFill="1" applyBorder="1"/>
    <xf numFmtId="8" fontId="2" fillId="6" borderId="0" xfId="1" applyNumberFormat="1" applyFill="1"/>
    <xf numFmtId="0" fontId="2" fillId="0" borderId="0" xfId="1" applyBorder="1" applyAlignment="1">
      <alignment horizontal="left"/>
    </xf>
    <xf numFmtId="0" fontId="3" fillId="0" borderId="6" xfId="1" applyFont="1" applyBorder="1" applyAlignment="1">
      <alignment horizontal="center"/>
    </xf>
    <xf numFmtId="44" fontId="2" fillId="0" borderId="1" xfId="1" applyNumberFormat="1" applyBorder="1"/>
    <xf numFmtId="44" fontId="3" fillId="0" borderId="1" xfId="2" applyNumberFormat="1" applyFont="1" applyBorder="1"/>
    <xf numFmtId="44" fontId="2" fillId="0" borderId="1" xfId="2" applyNumberFormat="1" applyFont="1" applyBorder="1"/>
    <xf numFmtId="42" fontId="2" fillId="0" borderId="1" xfId="2" applyNumberFormat="1" applyFont="1" applyBorder="1"/>
    <xf numFmtId="42" fontId="2" fillId="0" borderId="2" xfId="2" applyNumberFormat="1" applyFont="1" applyBorder="1"/>
    <xf numFmtId="44" fontId="3" fillId="0" borderId="3" xfId="2" applyNumberFormat="1" applyFont="1" applyBorder="1"/>
    <xf numFmtId="44" fontId="2" fillId="0" borderId="2" xfId="2" applyNumberFormat="1" applyFont="1" applyBorder="1"/>
    <xf numFmtId="44" fontId="3" fillId="0" borderId="7" xfId="2" applyNumberFormat="1" applyFont="1" applyBorder="1"/>
    <xf numFmtId="165" fontId="2" fillId="0" borderId="1" xfId="2" applyNumberFormat="1" applyFont="1" applyBorder="1"/>
    <xf numFmtId="165" fontId="2" fillId="0" borderId="2" xfId="2" applyNumberFormat="1" applyFont="1" applyBorder="1"/>
    <xf numFmtId="165" fontId="3" fillId="0" borderId="3" xfId="2" applyNumberFormat="1" applyFont="1" applyBorder="1"/>
    <xf numFmtId="44" fontId="2" fillId="0" borderId="4" xfId="2" applyNumberFormat="1" applyFont="1" applyBorder="1"/>
    <xf numFmtId="44" fontId="2" fillId="5" borderId="1" xfId="2" applyNumberFormat="1" applyFont="1" applyFill="1" applyBorder="1"/>
    <xf numFmtId="44" fontId="2" fillId="5" borderId="4" xfId="2" applyNumberFormat="1" applyFont="1" applyFill="1" applyBorder="1"/>
    <xf numFmtId="44" fontId="2" fillId="0" borderId="3" xfId="2" applyNumberFormat="1" applyFont="1" applyBorder="1"/>
    <xf numFmtId="42" fontId="3" fillId="0" borderId="3" xfId="2" applyNumberFormat="1" applyFont="1" applyBorder="1"/>
    <xf numFmtId="42" fontId="3" fillId="0" borderId="1" xfId="2" applyNumberFormat="1" applyFont="1" applyBorder="1"/>
    <xf numFmtId="42" fontId="3" fillId="0" borderId="8" xfId="2" applyNumberFormat="1" applyFont="1" applyBorder="1"/>
    <xf numFmtId="0" fontId="3" fillId="0" borderId="0" xfId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9" fontId="2" fillId="0" borderId="0" xfId="1" applyNumberFormat="1" applyFont="1" applyFill="1"/>
    <xf numFmtId="166" fontId="12" fillId="0" borderId="0" xfId="0" applyNumberFormat="1" applyFont="1" applyFill="1"/>
    <xf numFmtId="166" fontId="0" fillId="0" borderId="0" xfId="0" applyNumberFormat="1" applyFill="1"/>
    <xf numFmtId="0" fontId="0" fillId="0" borderId="0" xfId="0" applyFill="1"/>
    <xf numFmtId="166" fontId="2" fillId="0" borderId="0" xfId="1" applyNumberFormat="1"/>
    <xf numFmtId="0" fontId="2" fillId="6" borderId="0" xfId="1" applyFill="1"/>
    <xf numFmtId="0" fontId="0" fillId="0" borderId="0" xfId="0" applyBorder="1"/>
    <xf numFmtId="44" fontId="2" fillId="6" borderId="0" xfId="1" applyNumberFormat="1" applyFill="1"/>
    <xf numFmtId="44" fontId="0" fillId="6" borderId="0" xfId="0" applyNumberFormat="1" applyFill="1"/>
    <xf numFmtId="0" fontId="14" fillId="0" borderId="0" xfId="0" applyFont="1"/>
    <xf numFmtId="0" fontId="6" fillId="0" borderId="0" xfId="1" applyFont="1"/>
    <xf numFmtId="0" fontId="9" fillId="0" borderId="0" xfId="1" applyFont="1"/>
    <xf numFmtId="3" fontId="9" fillId="0" borderId="5" xfId="1" applyNumberFormat="1" applyFont="1" applyBorder="1"/>
    <xf numFmtId="0" fontId="14" fillId="0" borderId="1" xfId="38" applyFont="1" applyBorder="1" applyAlignment="1">
      <alignment wrapText="1"/>
    </xf>
    <xf numFmtId="0" fontId="1" fillId="0" borderId="1" xfId="38" applyFont="1" applyBorder="1" applyAlignment="1">
      <alignment vertical="center" wrapText="1"/>
    </xf>
    <xf numFmtId="3" fontId="1" fillId="0" borderId="1" xfId="38" applyNumberFormat="1" applyFont="1" applyBorder="1" applyAlignment="1">
      <alignment vertical="center" wrapText="1"/>
    </xf>
    <xf numFmtId="3" fontId="1" fillId="0" borderId="1" xfId="38" applyNumberFormat="1" applyFont="1" applyBorder="1" applyAlignment="1">
      <alignment wrapText="1"/>
    </xf>
    <xf numFmtId="3" fontId="1" fillId="0" borderId="0" xfId="38" applyNumberFormat="1" applyFont="1" applyAlignment="1">
      <alignment wrapText="1"/>
    </xf>
    <xf numFmtId="3" fontId="14" fillId="0" borderId="1" xfId="38" applyNumberFormat="1" applyFont="1" applyBorder="1" applyAlignment="1">
      <alignment wrapText="1"/>
    </xf>
    <xf numFmtId="0" fontId="14" fillId="0" borderId="1" xfId="38" applyFont="1" applyBorder="1" applyAlignment="1">
      <alignment horizontal="center" vertical="center" wrapText="1"/>
    </xf>
    <xf numFmtId="8" fontId="2" fillId="5" borderId="1" xfId="1" applyNumberFormat="1" applyFill="1" applyBorder="1"/>
    <xf numFmtId="3" fontId="2" fillId="5" borderId="2" xfId="1" applyNumberFormat="1" applyFill="1" applyBorder="1"/>
    <xf numFmtId="44" fontId="2" fillId="5" borderId="2" xfId="2" applyNumberFormat="1" applyFont="1" applyFill="1" applyBorder="1"/>
    <xf numFmtId="8" fontId="2" fillId="0" borderId="0" xfId="2" applyNumberFormat="1" applyFont="1" applyFill="1" applyBorder="1"/>
    <xf numFmtId="0" fontId="2" fillId="0" borderId="1" xfId="1" applyFill="1" applyBorder="1"/>
    <xf numFmtId="37" fontId="6" fillId="5" borderId="1" xfId="2" applyNumberFormat="1" applyFont="1" applyFill="1" applyBorder="1"/>
    <xf numFmtId="42" fontId="2" fillId="5" borderId="1" xfId="2" applyNumberFormat="1" applyFont="1" applyFill="1" applyBorder="1"/>
    <xf numFmtId="164" fontId="2" fillId="5" borderId="1" xfId="2" applyNumberFormat="1" applyFont="1" applyFill="1" applyBorder="1"/>
    <xf numFmtId="0" fontId="12" fillId="0" borderId="0" xfId="1" applyFont="1" applyAlignment="1">
      <alignment vertical="center"/>
    </xf>
    <xf numFmtId="44" fontId="2" fillId="0" borderId="1" xfId="1" applyNumberFormat="1" applyFill="1" applyBorder="1"/>
    <xf numFmtId="167" fontId="0" fillId="5" borderId="0" xfId="0" applyNumberFormat="1" applyFill="1"/>
    <xf numFmtId="44" fontId="3" fillId="0" borderId="1" xfId="1" applyNumberFormat="1" applyFont="1" applyBorder="1"/>
    <xf numFmtId="0" fontId="2" fillId="0" borderId="1" xfId="1" applyBorder="1" applyAlignment="1">
      <alignment wrapText="1"/>
    </xf>
    <xf numFmtId="0" fontId="3" fillId="0" borderId="2" xfId="1" applyFont="1" applyBorder="1"/>
    <xf numFmtId="164" fontId="2" fillId="5" borderId="2" xfId="2" applyNumberFormat="1" applyFont="1" applyFill="1" applyBorder="1"/>
    <xf numFmtId="42" fontId="2" fillId="5" borderId="2" xfId="2" applyNumberFormat="1" applyFont="1" applyFill="1" applyBorder="1"/>
    <xf numFmtId="8" fontId="2" fillId="0" borderId="1" xfId="1" applyNumberFormat="1" applyFill="1" applyBorder="1"/>
    <xf numFmtId="8" fontId="2" fillId="0" borderId="1" xfId="2" applyNumberFormat="1" applyFont="1" applyFill="1" applyBorder="1"/>
    <xf numFmtId="44" fontId="2" fillId="0" borderId="1" xfId="2" applyNumberFormat="1" applyFont="1" applyFill="1" applyBorder="1"/>
    <xf numFmtId="0" fontId="3" fillId="5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2" fillId="0" borderId="0" xfId="1" applyFill="1" applyBorder="1" applyAlignment="1">
      <alignment horizontal="left"/>
    </xf>
    <xf numFmtId="0" fontId="2" fillId="0" borderId="0" xfId="1" applyFill="1" applyBorder="1" applyAlignment="1">
      <alignment horizontal="right"/>
    </xf>
    <xf numFmtId="0" fontId="2" fillId="0" borderId="0" xfId="1" applyFill="1" applyBorder="1"/>
  </cellXfs>
  <cellStyles count="39">
    <cellStyle name="Currency 2" xfId="7"/>
    <cellStyle name="Currency 3" xfId="2"/>
    <cellStyle name="Hyperlink" xfId="4" builtinId="8"/>
    <cellStyle name="Normal" xfId="0" builtinId="0"/>
    <cellStyle name="Normal 2" xfId="5"/>
    <cellStyle name="Normal 2 2" xfId="6"/>
    <cellStyle name="Normal 2 3" xfId="28"/>
    <cellStyle name="Normal 2 3 2" xfId="31"/>
    <cellStyle name="Normal 2 3 2 2" xfId="37"/>
    <cellStyle name="Normal 2 3 3" xfId="34"/>
    <cellStyle name="Normal 2 4" xfId="30"/>
    <cellStyle name="Normal 2 4 2" xfId="36"/>
    <cellStyle name="Normal 2 5" xfId="33"/>
    <cellStyle name="Normal 3" xfId="8"/>
    <cellStyle name="Normal 4" xfId="9"/>
    <cellStyle name="Normal 5" xfId="10"/>
    <cellStyle name="Normal 6" xfId="1"/>
    <cellStyle name="Normal 7" xfId="29"/>
    <cellStyle name="Normal 7 2" xfId="35"/>
    <cellStyle name="Normal 8" xfId="32"/>
    <cellStyle name="Normal 9" xfId="38"/>
    <cellStyle name="Percent 2" xfId="3"/>
    <cellStyle name="Percent 3" xfId="11"/>
    <cellStyle name="Percent 3 10" xfId="12"/>
    <cellStyle name="Percent 3 11" xfId="13"/>
    <cellStyle name="Percent 3 12" xfId="14"/>
    <cellStyle name="Percent 3 13" xfId="15"/>
    <cellStyle name="Percent 3 14" xfId="16"/>
    <cellStyle name="Percent 3 15" xfId="17"/>
    <cellStyle name="Percent 3 16" xfId="18"/>
    <cellStyle name="Percent 3 17" xfId="19"/>
    <cellStyle name="Percent 3 2" xfId="20"/>
    <cellStyle name="Percent 3 3" xfId="21"/>
    <cellStyle name="Percent 3 4" xfId="22"/>
    <cellStyle name="Percent 3 5" xfId="23"/>
    <cellStyle name="Percent 3 6" xfId="24"/>
    <cellStyle name="Percent 3 7" xfId="25"/>
    <cellStyle name="Percent 3 8" xfId="26"/>
    <cellStyle name="Percent 3 9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Normal="100" workbookViewId="0">
      <selection activeCell="D15" sqref="D15"/>
    </sheetView>
  </sheetViews>
  <sheetFormatPr defaultRowHeight="14.4" x14ac:dyDescent="0.3"/>
  <cols>
    <col min="1" max="1" width="33.109375" customWidth="1"/>
    <col min="2" max="2" width="8.44140625" customWidth="1"/>
    <col min="3" max="3" width="9.33203125" bestFit="1" customWidth="1"/>
    <col min="4" max="4" width="9.44140625" bestFit="1" customWidth="1"/>
    <col min="5" max="5" width="11" bestFit="1" customWidth="1"/>
    <col min="6" max="6" width="9.44140625" bestFit="1" customWidth="1"/>
    <col min="7" max="7" width="9.33203125" bestFit="1" customWidth="1"/>
    <col min="8" max="8" width="29.44140625" customWidth="1"/>
    <col min="9" max="9" width="9.33203125" bestFit="1" customWidth="1"/>
    <col min="10" max="10" width="13" customWidth="1"/>
    <col min="11" max="11" width="40" customWidth="1"/>
    <col min="15" max="15" width="10.6640625" bestFit="1" customWidth="1"/>
  </cols>
  <sheetData>
    <row r="1" spans="1:19" ht="21" x14ac:dyDescent="0.35">
      <c r="A1" s="52" t="s">
        <v>0</v>
      </c>
      <c r="B1" s="52"/>
      <c r="C1" s="52"/>
      <c r="D1" s="52"/>
      <c r="E1" s="52"/>
      <c r="F1" s="52"/>
      <c r="G1" s="52"/>
      <c r="H1" s="52"/>
      <c r="I1" s="10"/>
      <c r="J1" s="91"/>
      <c r="N1" s="88"/>
    </row>
    <row r="2" spans="1:19" ht="15" x14ac:dyDescent="0.25">
      <c r="A2" s="60" t="s">
        <v>140</v>
      </c>
      <c r="B2" s="60"/>
      <c r="C2" s="60"/>
      <c r="D2" s="60"/>
      <c r="E2" s="60"/>
      <c r="F2" s="60"/>
      <c r="G2" s="60"/>
      <c r="H2" s="60"/>
      <c r="I2" s="80"/>
      <c r="N2" s="88"/>
      <c r="O2" s="81"/>
      <c r="P2" s="81"/>
      <c r="Q2" s="81"/>
      <c r="R2" s="81"/>
    </row>
    <row r="3" spans="1:19" x14ac:dyDescent="0.3">
      <c r="A3" s="121" t="s">
        <v>151</v>
      </c>
      <c r="B3" s="60"/>
      <c r="C3" s="60"/>
      <c r="D3" s="60"/>
      <c r="E3" s="60"/>
      <c r="F3" s="60"/>
      <c r="G3" s="60"/>
      <c r="H3" s="60"/>
      <c r="I3" s="80"/>
      <c r="O3" s="81"/>
      <c r="P3" s="81"/>
      <c r="Q3" s="81"/>
      <c r="R3" s="81"/>
    </row>
    <row r="4" spans="1:19" ht="15" x14ac:dyDescent="0.25">
      <c r="A4" s="60"/>
      <c r="B4" s="60"/>
      <c r="C4" s="60"/>
      <c r="D4" s="60"/>
      <c r="E4" s="60"/>
      <c r="F4" s="60"/>
      <c r="G4" s="60"/>
      <c r="H4" s="125"/>
      <c r="I4" s="80"/>
      <c r="O4" s="81"/>
      <c r="P4" s="81"/>
      <c r="Q4" s="81"/>
      <c r="R4" s="81"/>
    </row>
    <row r="5" spans="1:19" ht="15" x14ac:dyDescent="0.25">
      <c r="A5" s="29" t="s">
        <v>1</v>
      </c>
      <c r="B5" s="41">
        <v>100</v>
      </c>
      <c r="C5" s="28"/>
      <c r="D5" s="28"/>
      <c r="E5" s="28"/>
      <c r="F5" s="28"/>
      <c r="G5" s="28"/>
      <c r="H5" s="126"/>
      <c r="I5" s="82"/>
      <c r="O5" s="83"/>
      <c r="P5" s="83"/>
      <c r="Q5" s="83"/>
      <c r="R5" s="84"/>
    </row>
    <row r="6" spans="1:19" ht="15" x14ac:dyDescent="0.25">
      <c r="A6" s="29" t="s">
        <v>2</v>
      </c>
      <c r="B6" s="42">
        <v>0.05</v>
      </c>
      <c r="C6" s="28"/>
      <c r="D6" s="28"/>
      <c r="E6" s="38"/>
      <c r="F6" s="38"/>
      <c r="G6" s="38"/>
      <c r="H6" s="127"/>
      <c r="I6" s="82"/>
      <c r="O6" s="83"/>
      <c r="P6" s="83"/>
      <c r="Q6" s="83"/>
      <c r="R6" s="84"/>
      <c r="S6" s="25"/>
    </row>
    <row r="7" spans="1:19" ht="15" x14ac:dyDescent="0.25">
      <c r="A7" s="29" t="s">
        <v>3</v>
      </c>
      <c r="B7" s="41">
        <v>0.25</v>
      </c>
      <c r="C7" s="28" t="s">
        <v>4</v>
      </c>
      <c r="D7" s="28"/>
      <c r="E7" s="38"/>
      <c r="F7" s="38"/>
      <c r="G7" s="38"/>
      <c r="H7" s="127"/>
      <c r="I7" s="82"/>
      <c r="O7" s="83"/>
      <c r="P7" s="83"/>
      <c r="Q7" s="83"/>
      <c r="R7" s="84"/>
    </row>
    <row r="8" spans="1:19" ht="15" x14ac:dyDescent="0.25">
      <c r="A8" s="29" t="s">
        <v>5</v>
      </c>
      <c r="B8" s="42">
        <v>0.83</v>
      </c>
      <c r="C8" s="28"/>
      <c r="D8" s="28"/>
      <c r="E8" s="28"/>
      <c r="F8" s="28"/>
      <c r="G8" s="28"/>
      <c r="H8" s="127"/>
      <c r="I8" s="82"/>
      <c r="K8" s="88"/>
      <c r="O8" s="83"/>
      <c r="P8" s="83"/>
      <c r="Q8" s="83"/>
      <c r="R8" s="84"/>
    </row>
    <row r="9" spans="1:19" ht="15" x14ac:dyDescent="0.25">
      <c r="A9" s="29" t="s">
        <v>152</v>
      </c>
      <c r="B9" s="118">
        <f>J24</f>
        <v>601.81818181818176</v>
      </c>
      <c r="C9" s="105"/>
      <c r="D9" s="28"/>
      <c r="E9" s="28"/>
      <c r="F9" s="28"/>
      <c r="G9" s="28"/>
      <c r="H9" s="127"/>
      <c r="I9" s="82"/>
      <c r="O9" s="83"/>
      <c r="P9" s="83"/>
      <c r="Q9" s="83"/>
      <c r="R9" s="84"/>
    </row>
    <row r="10" spans="1:19" ht="15" x14ac:dyDescent="0.25">
      <c r="A10" s="28"/>
      <c r="B10" s="28"/>
      <c r="C10" s="28"/>
      <c r="D10" s="61" t="s">
        <v>141</v>
      </c>
      <c r="E10" s="61"/>
      <c r="F10" s="61"/>
      <c r="G10" s="61"/>
      <c r="H10" s="28"/>
      <c r="I10" s="82"/>
      <c r="O10" s="83"/>
      <c r="P10" s="83"/>
      <c r="Q10" s="83"/>
      <c r="R10" s="84"/>
    </row>
    <row r="11" spans="1:19" ht="15" x14ac:dyDescent="0.25">
      <c r="A11" s="32" t="s">
        <v>142</v>
      </c>
      <c r="B11" s="32" t="s">
        <v>6</v>
      </c>
      <c r="C11" s="39" t="s">
        <v>7</v>
      </c>
      <c r="D11" s="39" t="s">
        <v>8</v>
      </c>
      <c r="E11" s="39" t="s">
        <v>9</v>
      </c>
      <c r="F11" s="39" t="s">
        <v>10</v>
      </c>
      <c r="G11" s="39" t="s">
        <v>11</v>
      </c>
      <c r="H11" s="29"/>
      <c r="I11" s="38"/>
      <c r="O11" s="85"/>
      <c r="P11" s="85"/>
      <c r="Q11" s="85"/>
      <c r="R11" s="85"/>
    </row>
    <row r="12" spans="1:19" ht="15" x14ac:dyDescent="0.25">
      <c r="A12" s="29" t="s">
        <v>12</v>
      </c>
      <c r="B12" s="29" t="s">
        <v>13</v>
      </c>
      <c r="C12" s="53">
        <f>((B5-(B5*B6))*B8*365)/12</f>
        <v>2398.3541666666665</v>
      </c>
      <c r="D12" s="74">
        <v>5.5</v>
      </c>
      <c r="E12" s="65">
        <f>C12*D12</f>
        <v>13190.947916666666</v>
      </c>
      <c r="F12" s="64">
        <f>E12/C$13</f>
        <v>5.5</v>
      </c>
      <c r="G12" s="45">
        <f>E12/E$16</f>
        <v>1.3165769000598444</v>
      </c>
      <c r="H12" s="29"/>
      <c r="I12" s="1"/>
    </row>
    <row r="13" spans="1:19" ht="15" x14ac:dyDescent="0.25">
      <c r="A13" s="36" t="s">
        <v>14</v>
      </c>
      <c r="B13" s="29" t="s">
        <v>13</v>
      </c>
      <c r="C13" s="54">
        <f>C12</f>
        <v>2398.3541666666665</v>
      </c>
      <c r="D13" s="75">
        <v>1</v>
      </c>
      <c r="E13" s="65">
        <f>-C13*D13</f>
        <v>-2398.3541666666665</v>
      </c>
      <c r="F13" s="73">
        <f>-D13</f>
        <v>-1</v>
      </c>
      <c r="G13" s="45"/>
      <c r="H13" s="29"/>
      <c r="I13" s="1"/>
    </row>
    <row r="14" spans="1:19" ht="15" x14ac:dyDescent="0.25">
      <c r="A14" s="36" t="s">
        <v>15</v>
      </c>
      <c r="B14" s="29" t="s">
        <v>13</v>
      </c>
      <c r="C14" s="54">
        <f>C13</f>
        <v>2398.3541666666665</v>
      </c>
      <c r="D14" s="75">
        <v>0.32250000000000001</v>
      </c>
      <c r="E14" s="65">
        <f>-C14*D14</f>
        <v>-773.46921874999998</v>
      </c>
      <c r="F14" s="73">
        <f>-D14</f>
        <v>-0.32250000000000001</v>
      </c>
      <c r="G14" s="45"/>
      <c r="H14" s="29"/>
      <c r="I14" s="1"/>
      <c r="J14" s="1"/>
      <c r="K14" s="1"/>
    </row>
    <row r="15" spans="1:19" ht="15" thickBot="1" x14ac:dyDescent="0.35">
      <c r="A15" s="31" t="s">
        <v>150</v>
      </c>
      <c r="B15" s="31" t="s">
        <v>16</v>
      </c>
      <c r="C15" s="55">
        <f>B5-(B5*B6)</f>
        <v>95</v>
      </c>
      <c r="D15" s="104"/>
      <c r="E15" s="66">
        <f>C15*D15</f>
        <v>0</v>
      </c>
      <c r="F15" s="68">
        <f>E15/C$13</f>
        <v>0</v>
      </c>
      <c r="G15" s="71">
        <f>E15/E$16</f>
        <v>0</v>
      </c>
      <c r="H15" s="29"/>
      <c r="I15" s="1"/>
      <c r="J15" s="1"/>
      <c r="K15" s="110" t="s">
        <v>144</v>
      </c>
    </row>
    <row r="16" spans="1:19" ht="15" x14ac:dyDescent="0.25">
      <c r="A16" s="43" t="s">
        <v>17</v>
      </c>
      <c r="B16" s="34"/>
      <c r="C16" s="56"/>
      <c r="D16" s="67"/>
      <c r="E16" s="77">
        <f>SUM(E12:E15)</f>
        <v>10019.12453125</v>
      </c>
      <c r="F16" s="67">
        <f>SUM(F12:F15)</f>
        <v>4.1775000000000002</v>
      </c>
      <c r="G16" s="72">
        <f>E16/E$16</f>
        <v>1</v>
      </c>
      <c r="H16" s="29"/>
      <c r="I16" s="1"/>
      <c r="J16" s="1"/>
      <c r="K16" s="8" t="s">
        <v>18</v>
      </c>
    </row>
    <row r="17" spans="1:12" ht="15" x14ac:dyDescent="0.25">
      <c r="A17" s="32" t="s">
        <v>19</v>
      </c>
      <c r="B17" s="32"/>
      <c r="C17" s="57"/>
      <c r="D17" s="64"/>
      <c r="E17" s="65"/>
      <c r="F17" s="64"/>
      <c r="G17" s="33"/>
      <c r="H17" s="29"/>
      <c r="I17" s="1"/>
      <c r="J17" s="3" t="s">
        <v>8</v>
      </c>
      <c r="K17" s="2"/>
    </row>
    <row r="18" spans="1:12" ht="15" x14ac:dyDescent="0.25">
      <c r="A18" s="29" t="s">
        <v>20</v>
      </c>
      <c r="B18" s="29" t="s">
        <v>16</v>
      </c>
      <c r="C18" s="53">
        <f>B5</f>
        <v>100</v>
      </c>
      <c r="D18" s="119">
        <f>J18</f>
        <v>11</v>
      </c>
      <c r="E18" s="65">
        <f t="shared" ref="E18:E33" si="0">C18*D18</f>
        <v>1100</v>
      </c>
      <c r="F18" s="64">
        <f t="shared" ref="F18:F33" si="1">E18/C$13</f>
        <v>0.45864785747170372</v>
      </c>
      <c r="G18" s="70">
        <f t="shared" ref="G18:G33" si="2">E18/E$16</f>
        <v>0.1097900317107609</v>
      </c>
      <c r="H18" s="29"/>
      <c r="I18" s="1"/>
      <c r="J18" s="102">
        <v>11</v>
      </c>
      <c r="K18" s="2" t="s">
        <v>139</v>
      </c>
    </row>
    <row r="19" spans="1:12" ht="15" x14ac:dyDescent="0.25">
      <c r="A19" s="29" t="s">
        <v>21</v>
      </c>
      <c r="B19" s="29" t="s">
        <v>22</v>
      </c>
      <c r="C19" s="53">
        <f>B5*B7*365</f>
        <v>9125</v>
      </c>
      <c r="D19" s="120">
        <f>B9/J33</f>
        <v>0.3009090909090909</v>
      </c>
      <c r="E19" s="65">
        <f t="shared" si="0"/>
        <v>2745.7954545454545</v>
      </c>
      <c r="F19" s="64">
        <f t="shared" si="1"/>
        <v>1.1448665475298323</v>
      </c>
      <c r="G19" s="70">
        <f t="shared" si="2"/>
        <v>0.27405542729618965</v>
      </c>
      <c r="H19" s="29"/>
      <c r="I19" s="1"/>
      <c r="J19" s="9"/>
      <c r="K19" s="5" t="s">
        <v>23</v>
      </c>
    </row>
    <row r="20" spans="1:12" ht="15" x14ac:dyDescent="0.25">
      <c r="A20" s="29" t="s">
        <v>24</v>
      </c>
      <c r="B20" s="29" t="s">
        <v>25</v>
      </c>
      <c r="C20" s="58">
        <f>1000/10</f>
        <v>100</v>
      </c>
      <c r="D20" s="120">
        <f>J28</f>
        <v>0.19004545454545449</v>
      </c>
      <c r="E20" s="65">
        <f t="shared" si="0"/>
        <v>19.00454545454545</v>
      </c>
      <c r="F20" s="64">
        <f t="shared" si="1"/>
        <v>7.9239945954098882E-3</v>
      </c>
      <c r="G20" s="70">
        <f t="shared" si="2"/>
        <v>1.8968269528210383E-3</v>
      </c>
      <c r="H20" s="29"/>
      <c r="I20" s="1"/>
      <c r="J20" s="9"/>
      <c r="K20" s="5" t="s">
        <v>26</v>
      </c>
    </row>
    <row r="21" spans="1:12" x14ac:dyDescent="0.3">
      <c r="A21" s="29" t="s">
        <v>27</v>
      </c>
      <c r="B21" s="29" t="s">
        <v>28</v>
      </c>
      <c r="C21" s="58">
        <f>154/10</f>
        <v>15.4</v>
      </c>
      <c r="D21" s="74">
        <v>5</v>
      </c>
      <c r="E21" s="65">
        <f t="shared" si="0"/>
        <v>77</v>
      </c>
      <c r="F21" s="64">
        <f t="shared" si="1"/>
        <v>3.2105350023019258E-2</v>
      </c>
      <c r="G21" s="70">
        <f t="shared" si="2"/>
        <v>7.685302219753264E-3</v>
      </c>
      <c r="H21" s="29" t="s">
        <v>29</v>
      </c>
      <c r="I21" s="1"/>
      <c r="J21" s="9"/>
      <c r="K21" s="6" t="s">
        <v>30</v>
      </c>
    </row>
    <row r="22" spans="1:12" x14ac:dyDescent="0.3">
      <c r="A22" s="29" t="s">
        <v>31</v>
      </c>
      <c r="B22" s="29" t="s">
        <v>28</v>
      </c>
      <c r="C22" s="58">
        <f>104/10</f>
        <v>10.4</v>
      </c>
      <c r="D22" s="120">
        <f>J30</f>
        <v>5.9776999999999996</v>
      </c>
      <c r="E22" s="65">
        <f t="shared" si="0"/>
        <v>62.168079999999996</v>
      </c>
      <c r="F22" s="64">
        <f t="shared" si="1"/>
        <v>2.5921142450117701E-2</v>
      </c>
      <c r="G22" s="70">
        <f t="shared" si="2"/>
        <v>6.2049413405428373E-3</v>
      </c>
      <c r="H22" s="29" t="s">
        <v>32</v>
      </c>
      <c r="I22" s="1"/>
      <c r="J22" s="9"/>
      <c r="K22" s="6" t="s">
        <v>33</v>
      </c>
    </row>
    <row r="23" spans="1:12" x14ac:dyDescent="0.3">
      <c r="A23" s="29" t="s">
        <v>34</v>
      </c>
      <c r="B23" s="29" t="s">
        <v>35</v>
      </c>
      <c r="C23" s="58">
        <v>12</v>
      </c>
      <c r="D23" s="74">
        <v>27</v>
      </c>
      <c r="E23" s="65">
        <f t="shared" si="0"/>
        <v>324</v>
      </c>
      <c r="F23" s="64">
        <f t="shared" si="1"/>
        <v>0.13509264165530183</v>
      </c>
      <c r="G23" s="70">
        <f t="shared" si="2"/>
        <v>3.2338154794805944E-2</v>
      </c>
      <c r="H23" s="29" t="s">
        <v>36</v>
      </c>
      <c r="I23" s="1"/>
      <c r="J23" s="113" t="s">
        <v>146</v>
      </c>
      <c r="K23" s="5" t="s">
        <v>37</v>
      </c>
    </row>
    <row r="24" spans="1:12" x14ac:dyDescent="0.3">
      <c r="A24" s="29" t="s">
        <v>38</v>
      </c>
      <c r="B24" s="29"/>
      <c r="C24" s="58"/>
      <c r="D24" s="74"/>
      <c r="E24" s="108">
        <v>65</v>
      </c>
      <c r="F24" s="64">
        <f t="shared" si="1"/>
        <v>2.7101918850600672E-2</v>
      </c>
      <c r="G24" s="70">
        <f t="shared" si="2"/>
        <v>6.4875927829085994E-3</v>
      </c>
      <c r="H24" s="29"/>
      <c r="I24" s="1"/>
      <c r="J24" s="111">
        <f>L24/25/J$34*J$33</f>
        <v>601.81818181818176</v>
      </c>
      <c r="K24" s="6" t="s">
        <v>39</v>
      </c>
      <c r="L24" s="112">
        <v>16.55</v>
      </c>
    </row>
    <row r="25" spans="1:12" ht="25.8" customHeight="1" x14ac:dyDescent="0.3">
      <c r="A25" s="29" t="s">
        <v>40</v>
      </c>
      <c r="B25" s="29" t="s">
        <v>41</v>
      </c>
      <c r="C25" s="58">
        <f>0.5*365+0.5*52</f>
        <v>208.5</v>
      </c>
      <c r="D25" s="74">
        <v>15</v>
      </c>
      <c r="E25" s="65">
        <f t="shared" si="0"/>
        <v>3127.5</v>
      </c>
      <c r="F25" s="64">
        <f t="shared" si="1"/>
        <v>1.3040192493115941</v>
      </c>
      <c r="G25" s="70">
        <f t="shared" si="2"/>
        <v>0.31215302197764067</v>
      </c>
      <c r="H25" s="114" t="s">
        <v>42</v>
      </c>
      <c r="I25" s="1"/>
      <c r="J25" s="62">
        <f>L25/25/J$34*J$33</f>
        <v>643.63636363636351</v>
      </c>
      <c r="K25" s="6" t="s">
        <v>43</v>
      </c>
      <c r="L25" s="112">
        <v>17.7</v>
      </c>
    </row>
    <row r="26" spans="1:12" x14ac:dyDescent="0.3">
      <c r="A26" s="29" t="s">
        <v>44</v>
      </c>
      <c r="B26" s="29" t="s">
        <v>41</v>
      </c>
      <c r="C26" s="58">
        <f>2*52</f>
        <v>104</v>
      </c>
      <c r="D26" s="74">
        <v>15</v>
      </c>
      <c r="E26" s="65">
        <f t="shared" si="0"/>
        <v>1560</v>
      </c>
      <c r="F26" s="64">
        <f t="shared" si="1"/>
        <v>0.65044605241441622</v>
      </c>
      <c r="G26" s="70">
        <f t="shared" si="2"/>
        <v>0.15570222678980639</v>
      </c>
      <c r="H26" s="29" t="s">
        <v>45</v>
      </c>
      <c r="I26" s="1"/>
      <c r="J26" s="62">
        <f>L26/25/J$34*J$33</f>
        <v>581.81818181818176</v>
      </c>
      <c r="K26" s="6" t="s">
        <v>46</v>
      </c>
      <c r="L26" s="112">
        <v>16</v>
      </c>
    </row>
    <row r="27" spans="1:12" x14ac:dyDescent="0.3">
      <c r="A27" s="29" t="s">
        <v>47</v>
      </c>
      <c r="B27" s="29"/>
      <c r="C27" s="58"/>
      <c r="D27" s="74"/>
      <c r="E27" s="65">
        <f t="shared" ref="E27" si="3">C27*D27</f>
        <v>0</v>
      </c>
      <c r="F27" s="64">
        <f t="shared" si="1"/>
        <v>0</v>
      </c>
      <c r="G27" s="70">
        <f t="shared" si="2"/>
        <v>0</v>
      </c>
      <c r="H27" s="29"/>
      <c r="I27" s="1"/>
      <c r="J27" s="62">
        <f>L27/25/J$34*J$33</f>
        <v>1236.3636363636363</v>
      </c>
      <c r="K27" s="6" t="s">
        <v>48</v>
      </c>
      <c r="L27" s="112">
        <v>34</v>
      </c>
    </row>
    <row r="28" spans="1:12" x14ac:dyDescent="0.3">
      <c r="A28" s="29" t="s">
        <v>49</v>
      </c>
      <c r="B28" s="29"/>
      <c r="C28" s="53">
        <f>C12</f>
        <v>2398.3541666666665</v>
      </c>
      <c r="D28" s="74">
        <v>0.11</v>
      </c>
      <c r="E28" s="65">
        <f t="shared" si="0"/>
        <v>263.81895833333334</v>
      </c>
      <c r="F28" s="64">
        <f t="shared" si="1"/>
        <v>0.11000000000000001</v>
      </c>
      <c r="G28" s="70">
        <f t="shared" si="2"/>
        <v>2.6331538001196891E-2</v>
      </c>
      <c r="H28" s="29"/>
      <c r="I28" s="1"/>
      <c r="J28" s="111">
        <f>L28/25/J34*1.13</f>
        <v>0.19004545454545449</v>
      </c>
      <c r="K28" s="6" t="s">
        <v>50</v>
      </c>
      <c r="L28" s="112">
        <v>9.25</v>
      </c>
    </row>
    <row r="29" spans="1:12" x14ac:dyDescent="0.3">
      <c r="A29" s="29" t="s">
        <v>51</v>
      </c>
      <c r="B29" s="29"/>
      <c r="C29" s="53">
        <f>C12</f>
        <v>2398.3541666666665</v>
      </c>
      <c r="D29" s="120">
        <f>J31</f>
        <v>0.30133333333333329</v>
      </c>
      <c r="E29" s="65">
        <f t="shared" si="0"/>
        <v>722.70405555555544</v>
      </c>
      <c r="F29" s="64">
        <f t="shared" si="1"/>
        <v>0.30133333333333329</v>
      </c>
      <c r="G29" s="70">
        <f t="shared" si="2"/>
        <v>7.2132455615399951E-2</v>
      </c>
      <c r="H29" s="29"/>
      <c r="I29" s="1"/>
      <c r="J29" s="111"/>
      <c r="K29" s="5" t="s">
        <v>52</v>
      </c>
    </row>
    <row r="30" spans="1:12" x14ac:dyDescent="0.3">
      <c r="A30" s="29" t="s">
        <v>53</v>
      </c>
      <c r="B30" s="29"/>
      <c r="C30" s="58"/>
      <c r="D30" s="120"/>
      <c r="E30" s="65"/>
      <c r="F30" s="64">
        <f t="shared" si="1"/>
        <v>0</v>
      </c>
      <c r="G30" s="70">
        <f t="shared" si="2"/>
        <v>0</v>
      </c>
      <c r="H30" s="29" t="s">
        <v>54</v>
      </c>
      <c r="I30" s="1"/>
      <c r="J30" s="111">
        <f>L30*1.13</f>
        <v>5.9776999999999996</v>
      </c>
      <c r="K30" s="5" t="s">
        <v>145</v>
      </c>
      <c r="L30" s="112">
        <v>5.29</v>
      </c>
    </row>
    <row r="31" spans="1:12" x14ac:dyDescent="0.3">
      <c r="A31" s="29" t="s">
        <v>55</v>
      </c>
      <c r="B31" s="29"/>
      <c r="C31" s="58">
        <f>40*52</f>
        <v>2080</v>
      </c>
      <c r="D31" s="120">
        <v>0.35</v>
      </c>
      <c r="E31" s="65">
        <f t="shared" si="0"/>
        <v>728</v>
      </c>
      <c r="F31" s="64">
        <f t="shared" si="1"/>
        <v>0.30354149112672757</v>
      </c>
      <c r="G31" s="70">
        <f t="shared" si="2"/>
        <v>7.2661039168576316E-2</v>
      </c>
      <c r="H31" s="29" t="s">
        <v>56</v>
      </c>
      <c r="I31" s="24"/>
      <c r="J31" s="111">
        <f>L31/150*1.13</f>
        <v>0.30133333333333329</v>
      </c>
      <c r="K31" s="7" t="s">
        <v>57</v>
      </c>
      <c r="L31" s="112">
        <v>40</v>
      </c>
    </row>
    <row r="32" spans="1:12" x14ac:dyDescent="0.3">
      <c r="A32" s="36" t="s">
        <v>58</v>
      </c>
      <c r="B32" s="36"/>
      <c r="C32" s="58"/>
      <c r="D32" s="74"/>
      <c r="E32" s="108">
        <v>270</v>
      </c>
      <c r="F32" s="64">
        <f t="shared" si="1"/>
        <v>0.11257720137941818</v>
      </c>
      <c r="G32" s="70">
        <f t="shared" si="2"/>
        <v>2.6948462329004951E-2</v>
      </c>
      <c r="H32" s="29"/>
      <c r="I32" s="1"/>
      <c r="J32" s="1"/>
      <c r="K32" s="1"/>
    </row>
    <row r="33" spans="1:11" ht="15" thickBot="1" x14ac:dyDescent="0.35">
      <c r="A33" s="31" t="s">
        <v>59</v>
      </c>
      <c r="B33" s="31"/>
      <c r="C33" s="103"/>
      <c r="D33" s="104"/>
      <c r="E33" s="66">
        <f t="shared" si="0"/>
        <v>0</v>
      </c>
      <c r="F33" s="68">
        <f t="shared" si="1"/>
        <v>0</v>
      </c>
      <c r="G33" s="71">
        <f t="shared" si="2"/>
        <v>0</v>
      </c>
      <c r="H33" s="37"/>
      <c r="I33" s="1"/>
      <c r="J33" s="4">
        <v>2000</v>
      </c>
      <c r="K33" s="1" t="s">
        <v>60</v>
      </c>
    </row>
    <row r="34" spans="1:11" x14ac:dyDescent="0.3">
      <c r="A34" s="43" t="s">
        <v>61</v>
      </c>
      <c r="B34" s="30"/>
      <c r="C34" s="30"/>
      <c r="D34" s="76"/>
      <c r="E34" s="77">
        <f>SUM(E18:E33)</f>
        <v>11064.99109388889</v>
      </c>
      <c r="F34" s="67">
        <f>SUM(F18:F33)</f>
        <v>4.6135767801414751</v>
      </c>
      <c r="G34" s="46">
        <f>SUM(G18:G33)</f>
        <v>1.1043870209794076</v>
      </c>
      <c r="H34" s="29"/>
      <c r="I34" s="1"/>
      <c r="J34" s="1">
        <v>2.2000000000000002</v>
      </c>
      <c r="K34" s="1" t="s">
        <v>62</v>
      </c>
    </row>
    <row r="35" spans="1:11" x14ac:dyDescent="0.3">
      <c r="A35" s="32" t="s">
        <v>64</v>
      </c>
      <c r="B35" s="32"/>
      <c r="C35" s="29"/>
      <c r="D35" s="64"/>
      <c r="E35" s="65"/>
      <c r="F35" s="64"/>
      <c r="G35" s="33"/>
      <c r="H35" s="29"/>
      <c r="I35" s="1"/>
      <c r="J35" s="1">
        <v>0.4536</v>
      </c>
      <c r="K35" s="1" t="s">
        <v>63</v>
      </c>
    </row>
    <row r="36" spans="1:11" x14ac:dyDescent="0.3">
      <c r="A36" s="29" t="s">
        <v>65</v>
      </c>
      <c r="B36" s="29"/>
      <c r="C36" s="29"/>
      <c r="D36" s="64"/>
      <c r="E36" s="108">
        <f>750/5</f>
        <v>150</v>
      </c>
      <c r="F36" s="64">
        <f>E36/C$13</f>
        <v>6.2542889655232331E-2</v>
      </c>
      <c r="G36" s="70">
        <f>E36/E$16</f>
        <v>1.4971367960558306E-2</v>
      </c>
      <c r="H36" s="29" t="s">
        <v>121</v>
      </c>
      <c r="I36" s="1"/>
      <c r="J36" s="89">
        <f>SUM(F18:F22)+F24+F28+F29</f>
        <v>2.1079001442540171</v>
      </c>
      <c r="K36" s="87" t="s">
        <v>153</v>
      </c>
    </row>
    <row r="37" spans="1:11" x14ac:dyDescent="0.3">
      <c r="A37" s="29" t="s">
        <v>66</v>
      </c>
      <c r="B37" s="29"/>
      <c r="C37" s="29"/>
      <c r="D37" s="64"/>
      <c r="E37" s="108">
        <f>3000*0.025</f>
        <v>75</v>
      </c>
      <c r="F37" s="64">
        <f>E37/C$13</f>
        <v>3.1271444827616166E-2</v>
      </c>
      <c r="G37" s="70">
        <f>E37/E$16</f>
        <v>7.4856839802791529E-3</v>
      </c>
      <c r="H37" s="29" t="s">
        <v>122</v>
      </c>
      <c r="I37" s="1"/>
      <c r="J37" s="90">
        <f>SUM(F25:F26)</f>
        <v>1.9544653017260103</v>
      </c>
      <c r="K37" s="87" t="s">
        <v>154</v>
      </c>
    </row>
    <row r="38" spans="1:11" x14ac:dyDescent="0.3">
      <c r="A38" s="29" t="s">
        <v>67</v>
      </c>
      <c r="B38" s="29"/>
      <c r="C38" s="29"/>
      <c r="D38" s="64"/>
      <c r="E38" s="109">
        <f>4500/0.25*0.025</f>
        <v>450</v>
      </c>
      <c r="F38" s="64">
        <f>E38/C$13</f>
        <v>0.18762866896569697</v>
      </c>
      <c r="G38" s="70">
        <f>E38/E$16</f>
        <v>4.4914103881674917E-2</v>
      </c>
      <c r="H38" s="29" t="s">
        <v>68</v>
      </c>
      <c r="I38" s="1"/>
      <c r="J38" s="89">
        <f>F23+F31+F32+F41</f>
        <v>0.83265433760999297</v>
      </c>
      <c r="K38" s="87" t="s">
        <v>155</v>
      </c>
    </row>
    <row r="39" spans="1:11" x14ac:dyDescent="0.3">
      <c r="A39" s="29" t="s">
        <v>69</v>
      </c>
      <c r="B39" s="29"/>
      <c r="C39" s="29"/>
      <c r="D39" s="64"/>
      <c r="E39" s="109"/>
      <c r="F39" s="64">
        <f>E39/C$13</f>
        <v>0</v>
      </c>
      <c r="G39" s="70">
        <f>E39/E$16</f>
        <v>0</v>
      </c>
      <c r="H39" s="29" t="s">
        <v>148</v>
      </c>
      <c r="I39" s="1"/>
      <c r="J39" s="86"/>
      <c r="K39" s="1"/>
    </row>
    <row r="40" spans="1:11" ht="15" thickBot="1" x14ac:dyDescent="0.35">
      <c r="A40" s="31" t="s">
        <v>70</v>
      </c>
      <c r="B40" s="31"/>
      <c r="C40" s="31"/>
      <c r="D40" s="68"/>
      <c r="E40" s="116"/>
      <c r="F40" s="68">
        <f>E40/C$13</f>
        <v>0</v>
      </c>
      <c r="G40" s="71">
        <f>E40/E$16</f>
        <v>0</v>
      </c>
      <c r="H40" s="29" t="s">
        <v>149</v>
      </c>
      <c r="I40" s="1"/>
      <c r="J40" s="24"/>
      <c r="K40" s="1"/>
    </row>
    <row r="41" spans="1:11" x14ac:dyDescent="0.3">
      <c r="A41" s="43" t="s">
        <v>71</v>
      </c>
      <c r="B41" s="30"/>
      <c r="C41" s="30"/>
      <c r="D41" s="76"/>
      <c r="E41" s="77">
        <f>SUM(E36:E39)</f>
        <v>675</v>
      </c>
      <c r="F41" s="67">
        <f>SUM(F36:F40)</f>
        <v>0.28144300344854545</v>
      </c>
      <c r="G41" s="46">
        <f>SUM(G36:G40)</f>
        <v>6.737115582251238E-2</v>
      </c>
      <c r="H41" s="29"/>
      <c r="I41" s="1"/>
      <c r="J41" s="1"/>
      <c r="K41" s="1"/>
    </row>
    <row r="42" spans="1:11" x14ac:dyDescent="0.3">
      <c r="A42" s="44" t="s">
        <v>72</v>
      </c>
      <c r="B42" s="29"/>
      <c r="C42" s="29"/>
      <c r="D42" s="64"/>
      <c r="E42" s="78">
        <f>E34+E41</f>
        <v>11739.99109388889</v>
      </c>
      <c r="F42" s="63">
        <f>E42/C$13</f>
        <v>4.8950197835900209</v>
      </c>
      <c r="G42" s="48">
        <f>G34+G41</f>
        <v>1.1717581768019198</v>
      </c>
      <c r="H42" s="29"/>
      <c r="I42" s="1"/>
      <c r="J42" s="1"/>
      <c r="K42" s="1"/>
    </row>
    <row r="43" spans="1:11" ht="15" thickBot="1" x14ac:dyDescent="0.35">
      <c r="A43" s="43" t="s">
        <v>73</v>
      </c>
      <c r="B43" s="30"/>
      <c r="C43" s="30"/>
      <c r="D43" s="76"/>
      <c r="E43" s="79">
        <f>E16-E42</f>
        <v>-1720.8665626388902</v>
      </c>
      <c r="F43" s="69">
        <f>E43/C$13</f>
        <v>-0.71751978359002033</v>
      </c>
      <c r="G43" s="47">
        <f>G16-G42</f>
        <v>-0.17175817680191985</v>
      </c>
      <c r="H43" s="29"/>
      <c r="I43" s="1"/>
      <c r="J43" s="1"/>
      <c r="K43" s="1"/>
    </row>
    <row r="44" spans="1:11" ht="15.6" thickTop="1" thickBot="1" x14ac:dyDescent="0.35">
      <c r="A44" s="115" t="s">
        <v>74</v>
      </c>
      <c r="B44" s="31"/>
      <c r="C44" s="31"/>
      <c r="D44" s="68"/>
      <c r="E44" s="117"/>
      <c r="F44" s="68"/>
      <c r="G44" s="40"/>
      <c r="H44" s="29" t="s">
        <v>147</v>
      </c>
      <c r="I44" s="1"/>
      <c r="J44" s="1"/>
      <c r="K44" s="1"/>
    </row>
    <row r="45" spans="1:11" x14ac:dyDescent="0.3">
      <c r="A45" s="34" t="s">
        <v>75</v>
      </c>
      <c r="B45" s="30"/>
      <c r="C45" s="30"/>
      <c r="D45" s="76"/>
      <c r="E45" s="77">
        <f>E43-E44</f>
        <v>-1720.8665626388902</v>
      </c>
      <c r="F45" s="67">
        <f>E45/C$13</f>
        <v>-0.71751978359002033</v>
      </c>
      <c r="G45" s="35"/>
      <c r="H45" s="29"/>
      <c r="I45" s="1"/>
      <c r="J45" s="1"/>
      <c r="K45" s="1"/>
    </row>
    <row r="46" spans="1:11" x14ac:dyDescent="0.3">
      <c r="I46" s="1"/>
      <c r="J46" s="1"/>
      <c r="K46" s="1"/>
    </row>
    <row r="47" spans="1:11" x14ac:dyDescent="0.3">
      <c r="D47" s="28"/>
      <c r="E47" s="28"/>
      <c r="F47" s="28"/>
      <c r="G47" s="28"/>
      <c r="H47" s="28"/>
      <c r="I47" s="1"/>
      <c r="J47" s="1"/>
      <c r="K47" s="1"/>
    </row>
    <row r="48" spans="1:11" x14ac:dyDescent="0.3">
      <c r="A48" s="50"/>
      <c r="B48" s="51" t="s">
        <v>76</v>
      </c>
      <c r="C48" s="51" t="s">
        <v>77</v>
      </c>
      <c r="D48" s="28"/>
      <c r="E48" s="28"/>
      <c r="F48" s="28"/>
      <c r="G48" s="28"/>
      <c r="H48" s="28"/>
      <c r="I48" s="1"/>
      <c r="J48" s="1"/>
      <c r="K48" s="1"/>
    </row>
    <row r="49" spans="1:11" x14ac:dyDescent="0.3">
      <c r="A49" s="29" t="s">
        <v>143</v>
      </c>
      <c r="B49" s="26">
        <f>F42</f>
        <v>4.8950197835900209</v>
      </c>
      <c r="C49" s="27">
        <f>B49</f>
        <v>4.8950197835900209</v>
      </c>
      <c r="D49" s="28"/>
      <c r="E49" s="28"/>
      <c r="F49" s="28"/>
      <c r="G49" s="28"/>
      <c r="H49" s="28"/>
      <c r="I49" s="1"/>
      <c r="J49" s="1"/>
      <c r="K49" s="1"/>
    </row>
    <row r="50" spans="1:11" x14ac:dyDescent="0.3">
      <c r="A50" s="29" t="s">
        <v>79</v>
      </c>
      <c r="B50" s="26">
        <f>F43</f>
        <v>-0.71751978359002033</v>
      </c>
      <c r="C50" s="27">
        <f>B50+D14</f>
        <v>-0.39501978359002032</v>
      </c>
    </row>
    <row r="51" spans="1:11" x14ac:dyDescent="0.3">
      <c r="A51" s="49" t="s">
        <v>78</v>
      </c>
      <c r="B51" s="59">
        <v>6.22</v>
      </c>
      <c r="C51" s="59">
        <f>B51-D14</f>
        <v>5.8975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Zeros="0" topLeftCell="A24" workbookViewId="0">
      <selection activeCell="C27" sqref="C27"/>
    </sheetView>
  </sheetViews>
  <sheetFormatPr defaultRowHeight="14.4" x14ac:dyDescent="0.3"/>
  <cols>
    <col min="1" max="1" width="21.33203125" customWidth="1"/>
    <col min="3" max="3" width="12.33203125" bestFit="1" customWidth="1"/>
    <col min="4" max="4" width="9.6640625" bestFit="1" customWidth="1"/>
    <col min="5" max="5" width="23.44140625" customWidth="1"/>
    <col min="6" max="6" width="23.88671875" customWidth="1"/>
  </cols>
  <sheetData>
    <row r="1" spans="1:6" ht="21" x14ac:dyDescent="0.35">
      <c r="A1" s="122" t="s">
        <v>80</v>
      </c>
      <c r="B1" s="122"/>
      <c r="C1" s="122"/>
      <c r="D1" s="122"/>
      <c r="E1" s="122"/>
      <c r="F1" s="122"/>
    </row>
    <row r="2" spans="1:6" ht="15" x14ac:dyDescent="0.25">
      <c r="A2" s="123" t="s">
        <v>81</v>
      </c>
      <c r="B2" s="123"/>
      <c r="C2" s="123"/>
      <c r="D2" s="123"/>
      <c r="E2" s="123"/>
      <c r="F2" s="124"/>
    </row>
    <row r="3" spans="1:6" ht="15" x14ac:dyDescent="0.25">
      <c r="A3" s="15" t="s">
        <v>82</v>
      </c>
      <c r="B3" s="15" t="s">
        <v>83</v>
      </c>
      <c r="C3" s="15" t="s">
        <v>84</v>
      </c>
      <c r="D3" s="15" t="s">
        <v>85</v>
      </c>
      <c r="E3" s="15" t="s">
        <v>86</v>
      </c>
      <c r="F3" s="88"/>
    </row>
    <row r="4" spans="1:6" ht="15" x14ac:dyDescent="0.25">
      <c r="A4" s="14" t="s">
        <v>87</v>
      </c>
      <c r="B4" s="13"/>
      <c r="C4" s="13"/>
      <c r="D4" s="17"/>
      <c r="E4" s="106"/>
    </row>
    <row r="5" spans="1:6" ht="15" x14ac:dyDescent="0.25">
      <c r="A5" s="12" t="s">
        <v>88</v>
      </c>
      <c r="B5" s="12">
        <v>1</v>
      </c>
      <c r="C5" s="107">
        <v>660</v>
      </c>
      <c r="D5" s="22">
        <f t="shared" ref="D5:D28" si="0">B5*C5</f>
        <v>660</v>
      </c>
      <c r="E5" s="12" t="s">
        <v>89</v>
      </c>
    </row>
    <row r="6" spans="1:6" ht="15" x14ac:dyDescent="0.25">
      <c r="A6" s="12" t="s">
        <v>90</v>
      </c>
      <c r="B6" s="12">
        <v>2</v>
      </c>
      <c r="C6" s="107">
        <v>135</v>
      </c>
      <c r="D6" s="22">
        <f t="shared" si="0"/>
        <v>270</v>
      </c>
      <c r="E6" s="12" t="s">
        <v>91</v>
      </c>
    </row>
    <row r="7" spans="1:6" ht="15" x14ac:dyDescent="0.25">
      <c r="A7" s="12" t="s">
        <v>92</v>
      </c>
      <c r="B7" s="12">
        <v>2</v>
      </c>
      <c r="C7" s="107">
        <v>40</v>
      </c>
      <c r="D7" s="22">
        <f t="shared" si="0"/>
        <v>80</v>
      </c>
      <c r="E7" s="12" t="s">
        <v>93</v>
      </c>
    </row>
    <row r="8" spans="1:6" ht="15" x14ac:dyDescent="0.25">
      <c r="A8" s="12" t="s">
        <v>94</v>
      </c>
      <c r="B8" s="12">
        <v>2</v>
      </c>
      <c r="C8" s="107">
        <v>30</v>
      </c>
      <c r="D8" s="22">
        <f t="shared" si="0"/>
        <v>60</v>
      </c>
      <c r="E8" s="12" t="s">
        <v>95</v>
      </c>
    </row>
    <row r="9" spans="1:6" ht="15" x14ac:dyDescent="0.25">
      <c r="A9" s="14" t="s">
        <v>96</v>
      </c>
      <c r="B9" s="13"/>
      <c r="C9" s="16"/>
      <c r="D9" s="22">
        <f t="shared" si="0"/>
        <v>0</v>
      </c>
      <c r="E9" s="13"/>
    </row>
    <row r="10" spans="1:6" ht="15" x14ac:dyDescent="0.25">
      <c r="A10" s="13" t="s">
        <v>97</v>
      </c>
      <c r="B10" s="13"/>
      <c r="C10" s="107">
        <v>300</v>
      </c>
      <c r="D10" s="22">
        <f t="shared" si="0"/>
        <v>0</v>
      </c>
      <c r="E10" s="13"/>
    </row>
    <row r="11" spans="1:6" ht="15" x14ac:dyDescent="0.25">
      <c r="A11" s="13" t="s">
        <v>98</v>
      </c>
      <c r="B11" s="13"/>
      <c r="C11" s="107">
        <v>1500</v>
      </c>
      <c r="D11" s="22">
        <f t="shared" si="0"/>
        <v>0</v>
      </c>
      <c r="E11" s="13"/>
    </row>
    <row r="12" spans="1:6" ht="15" x14ac:dyDescent="0.25">
      <c r="A12" s="13" t="s">
        <v>99</v>
      </c>
      <c r="B12" s="13"/>
      <c r="C12" s="107">
        <v>500</v>
      </c>
      <c r="D12" s="22">
        <f t="shared" si="0"/>
        <v>0</v>
      </c>
      <c r="E12" s="13"/>
    </row>
    <row r="13" spans="1:6" ht="15" x14ac:dyDescent="0.25">
      <c r="A13" s="13" t="s">
        <v>100</v>
      </c>
      <c r="B13" s="13"/>
      <c r="C13" s="107">
        <v>250</v>
      </c>
      <c r="D13" s="22">
        <f t="shared" si="0"/>
        <v>0</v>
      </c>
      <c r="E13" s="13"/>
    </row>
    <row r="14" spans="1:6" ht="15" x14ac:dyDescent="0.25">
      <c r="A14" s="14" t="s">
        <v>69</v>
      </c>
      <c r="B14" s="13"/>
      <c r="C14" s="16"/>
      <c r="D14" s="22">
        <f t="shared" si="0"/>
        <v>0</v>
      </c>
      <c r="E14" s="13"/>
    </row>
    <row r="15" spans="1:6" ht="15" x14ac:dyDescent="0.25">
      <c r="A15" s="13" t="s">
        <v>101</v>
      </c>
      <c r="B15" s="13">
        <v>2</v>
      </c>
      <c r="C15" s="107">
        <v>400</v>
      </c>
      <c r="D15" s="22">
        <f t="shared" si="0"/>
        <v>800</v>
      </c>
      <c r="E15" s="13"/>
    </row>
    <row r="16" spans="1:6" ht="15" x14ac:dyDescent="0.25">
      <c r="A16" s="13" t="s">
        <v>102</v>
      </c>
      <c r="B16" s="13">
        <v>3</v>
      </c>
      <c r="C16" s="107">
        <v>25</v>
      </c>
      <c r="D16" s="22">
        <f t="shared" si="0"/>
        <v>75</v>
      </c>
      <c r="E16" s="13" t="s">
        <v>103</v>
      </c>
    </row>
    <row r="17" spans="1:6" ht="15" x14ac:dyDescent="0.25">
      <c r="A17" s="13" t="s">
        <v>104</v>
      </c>
      <c r="B17" s="13">
        <v>1</v>
      </c>
      <c r="C17" s="107">
        <v>210</v>
      </c>
      <c r="D17" s="22">
        <f t="shared" si="0"/>
        <v>210</v>
      </c>
      <c r="E17" s="13" t="s">
        <v>105</v>
      </c>
    </row>
    <row r="18" spans="1:6" ht="15" x14ac:dyDescent="0.25">
      <c r="A18" s="13" t="s">
        <v>106</v>
      </c>
      <c r="B18" s="13">
        <v>1</v>
      </c>
      <c r="C18" s="107">
        <v>270</v>
      </c>
      <c r="D18" s="22">
        <f t="shared" si="0"/>
        <v>270</v>
      </c>
      <c r="E18" s="13" t="s">
        <v>107</v>
      </c>
    </row>
    <row r="19" spans="1:6" ht="15" x14ac:dyDescent="0.25">
      <c r="A19" s="13" t="s">
        <v>108</v>
      </c>
      <c r="B19" s="13">
        <v>1</v>
      </c>
      <c r="C19" s="107">
        <v>130</v>
      </c>
      <c r="D19" s="22">
        <f t="shared" si="0"/>
        <v>130</v>
      </c>
      <c r="E19" s="13"/>
    </row>
    <row r="20" spans="1:6" ht="15" x14ac:dyDescent="0.25">
      <c r="A20" s="13" t="s">
        <v>109</v>
      </c>
      <c r="B20" s="13"/>
      <c r="C20" s="107">
        <v>3000</v>
      </c>
      <c r="D20" s="22">
        <f t="shared" si="0"/>
        <v>0</v>
      </c>
      <c r="E20" s="13"/>
    </row>
    <row r="21" spans="1:6" ht="15" x14ac:dyDescent="0.25">
      <c r="A21" s="13" t="s">
        <v>110</v>
      </c>
      <c r="B21" s="13">
        <v>1</v>
      </c>
      <c r="C21" s="107">
        <v>660</v>
      </c>
      <c r="D21" s="22">
        <f t="shared" si="0"/>
        <v>660</v>
      </c>
      <c r="E21" s="13" t="s">
        <v>111</v>
      </c>
    </row>
    <row r="22" spans="1:6" ht="15" x14ac:dyDescent="0.25">
      <c r="A22" s="14" t="s">
        <v>112</v>
      </c>
      <c r="B22" s="13"/>
      <c r="C22" s="16"/>
      <c r="D22" s="22">
        <f t="shared" si="0"/>
        <v>0</v>
      </c>
      <c r="E22" s="13"/>
    </row>
    <row r="23" spans="1:6" ht="15" x14ac:dyDescent="0.25">
      <c r="A23" s="13" t="s">
        <v>113</v>
      </c>
      <c r="B23" s="13"/>
      <c r="C23" s="107">
        <v>325</v>
      </c>
      <c r="D23" s="22">
        <f t="shared" si="0"/>
        <v>0</v>
      </c>
      <c r="E23" s="13"/>
    </row>
    <row r="24" spans="1:6" ht="15" x14ac:dyDescent="0.25">
      <c r="A24" s="13" t="s">
        <v>114</v>
      </c>
      <c r="B24" s="13"/>
      <c r="C24" s="107">
        <v>515</v>
      </c>
      <c r="D24" s="22">
        <f t="shared" si="0"/>
        <v>0</v>
      </c>
      <c r="E24" s="13"/>
    </row>
    <row r="25" spans="1:6" ht="15" x14ac:dyDescent="0.25">
      <c r="A25" s="13" t="s">
        <v>115</v>
      </c>
      <c r="B25" s="13"/>
      <c r="C25" s="107">
        <v>600</v>
      </c>
      <c r="D25" s="22">
        <f t="shared" si="0"/>
        <v>0</v>
      </c>
      <c r="E25" s="13" t="s">
        <v>116</v>
      </c>
    </row>
    <row r="26" spans="1:6" ht="15" x14ac:dyDescent="0.25">
      <c r="A26" s="13" t="s">
        <v>123</v>
      </c>
      <c r="B26" s="13">
        <v>1</v>
      </c>
      <c r="C26" s="107">
        <v>1350</v>
      </c>
      <c r="D26" s="22">
        <f t="shared" si="0"/>
        <v>1350</v>
      </c>
      <c r="E26" s="13"/>
    </row>
    <row r="27" spans="1:6" ht="15" x14ac:dyDescent="0.25">
      <c r="A27" s="14" t="s">
        <v>117</v>
      </c>
      <c r="B27" s="13"/>
      <c r="C27" s="16"/>
      <c r="D27" s="22">
        <f t="shared" si="0"/>
        <v>0</v>
      </c>
      <c r="E27" s="13"/>
    </row>
    <row r="28" spans="1:6" ht="15" x14ac:dyDescent="0.25">
      <c r="A28" s="13" t="s">
        <v>118</v>
      </c>
      <c r="B28" s="13">
        <v>3</v>
      </c>
      <c r="C28" s="107">
        <v>30</v>
      </c>
      <c r="D28" s="22">
        <f t="shared" si="0"/>
        <v>90</v>
      </c>
      <c r="E28" s="13"/>
    </row>
    <row r="29" spans="1:6" ht="15" x14ac:dyDescent="0.25">
      <c r="A29" s="20" t="s">
        <v>119</v>
      </c>
      <c r="B29" s="14"/>
      <c r="C29" s="18"/>
      <c r="D29" s="19">
        <f>SUM(D5:D28)</f>
        <v>4655</v>
      </c>
      <c r="E29" s="13"/>
    </row>
    <row r="30" spans="1:6" ht="15" x14ac:dyDescent="0.25">
      <c r="A30" s="11"/>
      <c r="B30" s="11"/>
      <c r="C30" s="11"/>
      <c r="D30" s="11"/>
      <c r="E30" s="11"/>
      <c r="F30" s="11"/>
    </row>
    <row r="31" spans="1:6" ht="49.5" customHeight="1" x14ac:dyDescent="0.25">
      <c r="A31" s="101" t="s">
        <v>124</v>
      </c>
      <c r="B31" s="101" t="s">
        <v>125</v>
      </c>
      <c r="C31" s="101" t="s">
        <v>126</v>
      </c>
      <c r="D31" s="101" t="s">
        <v>127</v>
      </c>
      <c r="E31" s="101" t="s">
        <v>128</v>
      </c>
      <c r="F31" s="21"/>
    </row>
    <row r="32" spans="1:6" ht="30" x14ac:dyDescent="0.25">
      <c r="A32" s="96" t="s">
        <v>129</v>
      </c>
      <c r="B32" s="97">
        <v>50</v>
      </c>
      <c r="C32" s="97">
        <v>110</v>
      </c>
      <c r="D32" s="97">
        <v>220</v>
      </c>
      <c r="E32" s="97">
        <v>126.66666666666667</v>
      </c>
      <c r="F32" s="21"/>
    </row>
    <row r="33" spans="1:6" ht="30" x14ac:dyDescent="0.25">
      <c r="A33" s="96" t="s">
        <v>130</v>
      </c>
      <c r="B33" s="97">
        <v>5000</v>
      </c>
      <c r="C33" s="97">
        <v>7000</v>
      </c>
      <c r="D33" s="97"/>
      <c r="E33" s="97">
        <v>4000</v>
      </c>
      <c r="F33" s="21"/>
    </row>
    <row r="34" spans="1:6" ht="45" x14ac:dyDescent="0.25">
      <c r="A34" s="96" t="s">
        <v>131</v>
      </c>
      <c r="B34" s="97"/>
      <c r="C34" s="97"/>
      <c r="D34" s="97">
        <v>12000</v>
      </c>
      <c r="E34" s="97"/>
      <c r="F34" s="21"/>
    </row>
    <row r="35" spans="1:6" x14ac:dyDescent="0.3">
      <c r="A35" s="96" t="s">
        <v>132</v>
      </c>
      <c r="B35" s="97">
        <v>650</v>
      </c>
      <c r="C35" s="97">
        <v>800</v>
      </c>
      <c r="D35" s="98">
        <v>1000</v>
      </c>
      <c r="E35" s="97">
        <v>816.66666666666663</v>
      </c>
      <c r="F35" s="21"/>
    </row>
    <row r="36" spans="1:6" x14ac:dyDescent="0.3">
      <c r="A36" s="96" t="s">
        <v>133</v>
      </c>
      <c r="B36" s="97">
        <v>2000</v>
      </c>
      <c r="C36" s="97">
        <v>3000</v>
      </c>
      <c r="D36" s="98">
        <v>5000</v>
      </c>
      <c r="E36" s="97">
        <v>3333.3333333333335</v>
      </c>
      <c r="F36" s="21"/>
    </row>
    <row r="37" spans="1:6" ht="28.8" x14ac:dyDescent="0.3">
      <c r="A37" s="96" t="s">
        <v>134</v>
      </c>
      <c r="B37" s="97"/>
      <c r="C37" s="99">
        <v>4000</v>
      </c>
      <c r="D37" s="97">
        <v>10000</v>
      </c>
      <c r="E37" s="97">
        <v>4666.666666666667</v>
      </c>
      <c r="F37" s="21"/>
    </row>
    <row r="38" spans="1:6" x14ac:dyDescent="0.3">
      <c r="A38" s="96" t="s">
        <v>135</v>
      </c>
      <c r="B38" s="97">
        <v>400</v>
      </c>
      <c r="C38" s="97">
        <v>500</v>
      </c>
      <c r="D38" s="97">
        <v>600</v>
      </c>
      <c r="E38" s="97">
        <v>500</v>
      </c>
      <c r="F38" s="21"/>
    </row>
    <row r="39" spans="1:6" x14ac:dyDescent="0.3">
      <c r="A39" s="96" t="s">
        <v>136</v>
      </c>
      <c r="B39" s="97">
        <v>1200</v>
      </c>
      <c r="C39" s="97">
        <v>1400</v>
      </c>
      <c r="D39" s="97">
        <v>1600</v>
      </c>
      <c r="E39" s="97">
        <v>1400</v>
      </c>
      <c r="F39" s="92"/>
    </row>
    <row r="40" spans="1:6" x14ac:dyDescent="0.3">
      <c r="A40" s="96" t="s">
        <v>137</v>
      </c>
      <c r="B40" s="97"/>
      <c r="C40" s="97"/>
      <c r="D40" s="97">
        <v>1200</v>
      </c>
      <c r="E40" s="97">
        <v>500</v>
      </c>
      <c r="F40" s="92"/>
    </row>
    <row r="41" spans="1:6" ht="28.8" x14ac:dyDescent="0.3">
      <c r="A41" s="96" t="s">
        <v>138</v>
      </c>
      <c r="B41" s="97">
        <v>800</v>
      </c>
      <c r="C41" s="97">
        <v>1200</v>
      </c>
      <c r="D41" s="98">
        <v>1500</v>
      </c>
      <c r="E41" s="97">
        <v>1333.3333333333333</v>
      </c>
      <c r="F41" s="92"/>
    </row>
    <row r="42" spans="1:6" x14ac:dyDescent="0.3">
      <c r="A42" s="95" t="s">
        <v>9</v>
      </c>
      <c r="B42" s="100">
        <v>10100</v>
      </c>
      <c r="C42" s="100">
        <v>18010</v>
      </c>
      <c r="D42" s="100">
        <v>33120</v>
      </c>
      <c r="E42" s="100">
        <v>16676.666666666668</v>
      </c>
      <c r="F42" s="21"/>
    </row>
    <row r="43" spans="1:6" x14ac:dyDescent="0.3">
      <c r="A43" s="11"/>
      <c r="B43" s="23"/>
      <c r="C43" s="23"/>
      <c r="D43" s="23"/>
      <c r="E43" s="23"/>
      <c r="F43" s="21"/>
    </row>
    <row r="44" spans="1:6" ht="15" thickBot="1" x14ac:dyDescent="0.35">
      <c r="A44" s="93" t="s">
        <v>120</v>
      </c>
      <c r="B44" s="94">
        <f>B42+$D29</f>
        <v>14755</v>
      </c>
      <c r="C44" s="94">
        <f t="shared" ref="C44:E44" si="1">C42+$D29</f>
        <v>22665</v>
      </c>
      <c r="D44" s="94">
        <f t="shared" si="1"/>
        <v>37775</v>
      </c>
      <c r="E44" s="94">
        <f t="shared" si="1"/>
        <v>21331.666666666668</v>
      </c>
      <c r="F44" s="21"/>
    </row>
    <row r="45" spans="1:6" ht="15" thickTop="1" x14ac:dyDescent="0.3"/>
  </sheetData>
  <mergeCells count="2">
    <mergeCell ref="A1:F1"/>
    <mergeCell ref="A2:F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</vt:lpstr>
      <vt:lpstr>Capital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</dc:creator>
  <cp:lastModifiedBy>PAT</cp:lastModifiedBy>
  <dcterms:created xsi:type="dcterms:W3CDTF">2016-10-14T14:14:51Z</dcterms:created>
  <dcterms:modified xsi:type="dcterms:W3CDTF">2017-01-31T17:19:57Z</dcterms:modified>
</cp:coreProperties>
</file>